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9095" windowHeight="107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'Plan1'!$A$1:$J$107</definedName>
    <definedName name="_xlnm.Print_Titles" localSheetId="0">'Plan1'!$1:$4</definedName>
  </definedNames>
  <calcPr calcId="124519"/>
</workbook>
</file>

<file path=xl/sharedStrings.xml><?xml version="1.0" encoding="utf-8"?>
<sst xmlns="http://schemas.openxmlformats.org/spreadsheetml/2006/main" count="149" uniqueCount="103">
  <si>
    <t>COMPOSIÇÃO DE PREÇOS</t>
  </si>
  <si>
    <t>VEÍCULO:</t>
  </si>
  <si>
    <t>ÔNIBUS 36 passageiros sentados e 40 passageiros em pé - URBANO</t>
  </si>
  <si>
    <t>KM DIÁRIO:</t>
  </si>
  <si>
    <t>QTDE DIAS NO MêS:</t>
  </si>
  <si>
    <t>KM MENSAL:</t>
  </si>
  <si>
    <t>QTD DE VEÍCULOS DEDICADOS:</t>
  </si>
  <si>
    <t>PRAZO DO CONTRARO (MESES):</t>
  </si>
  <si>
    <t>VALOR DO CONTRATO:</t>
  </si>
  <si>
    <t>CUSTO + nf</t>
  </si>
  <si>
    <t>LUCRO</t>
  </si>
  <si>
    <t>1.2 - Depreciação Anual (20%)</t>
  </si>
  <si>
    <t>1.1 - Fipe ( Depreciação Mensal)</t>
  </si>
  <si>
    <t>Valor Unitário (R$)</t>
  </si>
  <si>
    <t>Qtd Considerada</t>
  </si>
  <si>
    <t>Valor Total</t>
  </si>
  <si>
    <t>% Considerado</t>
  </si>
  <si>
    <t>Total Mensal</t>
  </si>
  <si>
    <t>TOTAIS 1.0</t>
  </si>
  <si>
    <t>% Representativo</t>
  </si>
  <si>
    <t>R$ / KM</t>
  </si>
  <si>
    <t>1.0 -VEÍCULOS</t>
  </si>
  <si>
    <t>Fundamentação</t>
  </si>
  <si>
    <t>Taxa de depreciação constante dos anexos da Instrução Normativa SRF nº 162/1998 (alterada posteriormente pela Instrução Normativa SRF nº 130/1999). A taxa de depreciação, para uso normal dos bens em um turno de 8hoas diárias é de 20% ao ano para veículos.</t>
  </si>
  <si>
    <t>Cálculo para 01 VEÍCULO</t>
  </si>
  <si>
    <t>2.0 - MÃO DE OBRA</t>
  </si>
  <si>
    <t>Salário (R$)</t>
  </si>
  <si>
    <t>% Alocação</t>
  </si>
  <si>
    <t>2.1 - Motorista</t>
  </si>
  <si>
    <t>2.2 - Cobrador</t>
  </si>
  <si>
    <t>2.3 - MecÂnico</t>
  </si>
  <si>
    <t>2.4 - Lavador</t>
  </si>
  <si>
    <t>2.5 - Adm + Edificação</t>
  </si>
  <si>
    <t>2.6 - Benefícios (alim + unif + odont +seg.)</t>
  </si>
  <si>
    <t>TOTAIS 2.0</t>
  </si>
  <si>
    <t>3.0 - ENCARGOS</t>
  </si>
  <si>
    <t>Percentual %</t>
  </si>
  <si>
    <t>Valor Total (*)</t>
  </si>
  <si>
    <t>3.1 - FGTS</t>
  </si>
  <si>
    <t>3.2 - INSS</t>
  </si>
  <si>
    <t>3.3 - FÉRIAS + 1/3</t>
  </si>
  <si>
    <t>3.4 - 13º SALÁRIO</t>
  </si>
  <si>
    <t>3.5 - SAT</t>
  </si>
  <si>
    <t>3.6 - TERCEIROS (**) ISALUBRIDADE</t>
  </si>
  <si>
    <t>3.7 - Prev. Sobre 13º / Férias / DSR</t>
  </si>
  <si>
    <t>3.8 - FGTS  / Provisão de multa rescisão</t>
  </si>
  <si>
    <t>TOTAIS 3.0</t>
  </si>
  <si>
    <t>KM ANUAL</t>
  </si>
  <si>
    <t>* BASE DE CALULO 1    /     ** TERCEIROS: SALÁRIO EDUCAÇÃO 2,5 % ; INCRA 0,20% ; SENAI 1% ; SESI 1,5%; SEBRAE 060%</t>
  </si>
  <si>
    <t>4.0 - TAXAS ANUAIS</t>
  </si>
  <si>
    <t>4.1 - IPVA</t>
  </si>
  <si>
    <t>VALOR</t>
  </si>
  <si>
    <t xml:space="preserve">Valor Total </t>
  </si>
  <si>
    <t>4.2 - DPVAT</t>
  </si>
  <si>
    <t>4.3 - SEGURO APP</t>
  </si>
  <si>
    <t>4.4 - SMTR</t>
  </si>
  <si>
    <t>4.5 - DETRO</t>
  </si>
  <si>
    <t>4.6 - ANTT</t>
  </si>
  <si>
    <t>TOTAIS 4.0</t>
  </si>
  <si>
    <t>5.0 - MANUTENÇÃO (ANUAL)</t>
  </si>
  <si>
    <t>5.1 - COMBUSTÍVEL</t>
  </si>
  <si>
    <t>Valor Unit (R$)</t>
  </si>
  <si>
    <t>Autonomia(*)</t>
  </si>
  <si>
    <t>Quantidade</t>
  </si>
  <si>
    <t>5.2 - LUBRIFICANTES</t>
  </si>
  <si>
    <t>5.2.1 - LUB. MOTOR (LT)</t>
  </si>
  <si>
    <t>5.2.2 - LUB. CAIXA (LT)</t>
  </si>
  <si>
    <t>5.2.3- LUB. DIFERENCIAL (LT)</t>
  </si>
  <si>
    <t>5.3 - PNEU NOVO diant (UND)</t>
  </si>
  <si>
    <t>5.4 - PNEU RECAPEADO tras (UND)</t>
  </si>
  <si>
    <t>TOTAIS 5.0</t>
  </si>
  <si>
    <t>* AUTONOMIA: Combustível: km/L; Motor: km/12LT; Caixa: km/6Lt; Diferencial: Km/5Lt</t>
  </si>
  <si>
    <t>6.0 - OUTROS</t>
  </si>
  <si>
    <t>6.1 - RASTREAMENTO</t>
  </si>
  <si>
    <t>6.2 - Câmera de Segurança</t>
  </si>
  <si>
    <t>6.3 - TACOGRAFO</t>
  </si>
  <si>
    <t>6.4 - PINTURA E ADESIVAGEM</t>
  </si>
  <si>
    <t>6.5 - RESPONSABILIDADE CIVIL</t>
  </si>
  <si>
    <t>TOTAIS 6.0</t>
  </si>
  <si>
    <t>SUBTOTAL (CUSTO LÍQUIDO)</t>
  </si>
  <si>
    <t>* BASE DE CÁLCULO 2</t>
  </si>
  <si>
    <t>7.0 -  COMISSÕES / MARGEM</t>
  </si>
  <si>
    <t>% Aplicado</t>
  </si>
  <si>
    <t>7.1 - COMISSÕES</t>
  </si>
  <si>
    <t>7.2 - MARGEM DE LUCRO</t>
  </si>
  <si>
    <t>TOTAIS 7.0</t>
  </si>
  <si>
    <t>SUBTOTAL (CUSTO LÍQUIDO APÓS COMISSÕES E LUCROS)</t>
  </si>
  <si>
    <t>* BASE DE CÁLCULO 3</t>
  </si>
  <si>
    <t>8.0 - TRIBUTOS</t>
  </si>
  <si>
    <t>8.1 - ISS</t>
  </si>
  <si>
    <t>8.2 - ICMS</t>
  </si>
  <si>
    <t>8.3 - PIS</t>
  </si>
  <si>
    <t>8.4 - COFINS</t>
  </si>
  <si>
    <t>8.5 - IR</t>
  </si>
  <si>
    <t>8.6 - CSLL</t>
  </si>
  <si>
    <t>8.7 - SIMPLES (DAS)</t>
  </si>
  <si>
    <t>TOTAIS 8.0</t>
  </si>
  <si>
    <t>9.0 - SUBTOTAL MENSAL</t>
  </si>
  <si>
    <t>DIFERENÇA DE MARGEM APÓS INCIDENCIA DE IMPOSTOS</t>
  </si>
  <si>
    <t>10.0 - TOTAL MENSAL DO CONTRATO</t>
  </si>
  <si>
    <t>11.0 - TOTAL MENSAL DO CONTRATO PARA 13 ÔNIBUS</t>
  </si>
  <si>
    <t>12.0 - VALOR ANUAL DO CONTRATO PARA 13 ÔNIBUS</t>
  </si>
  <si>
    <t>13.0 - VALOR MÉDIO DO KM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</si>
</sst>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0.000%"/>
    <numFmt numFmtId="167" formatCode="_-* #,##0.00000_-;\-* #,##0.00000_-;_-* &quot;-&quot;??_-;_-@_-"/>
    <numFmt numFmtId="168" formatCode="_-&quot;R$&quot;\ * #,##0.000_-;\-&quot;R$&quot;\ * #,##0.0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44" fontId="3" fillId="0" borderId="0" xfId="0" applyNumberFormat="1" applyFont="1" applyAlignment="1">
      <alignment horizontal="center" vertical="center"/>
    </xf>
    <xf numFmtId="167" fontId="3" fillId="0" borderId="0" xfId="2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44" fontId="0" fillId="0" borderId="1" xfId="21" applyFont="1" applyBorder="1" applyAlignment="1">
      <alignment horizontal="center" vertical="center"/>
    </xf>
    <xf numFmtId="9" fontId="0" fillId="0" borderId="1" xfId="22" applyFont="1" applyBorder="1" applyAlignment="1">
      <alignment horizontal="center" vertical="center"/>
    </xf>
    <xf numFmtId="44" fontId="0" fillId="0" borderId="1" xfId="21" applyFont="1" applyBorder="1" applyAlignment="1">
      <alignment vertical="center"/>
    </xf>
    <xf numFmtId="164" fontId="0" fillId="0" borderId="1" xfId="22" applyNumberFormat="1" applyFont="1" applyBorder="1" applyAlignment="1">
      <alignment horizontal="center" vertical="center"/>
    </xf>
    <xf numFmtId="10" fontId="0" fillId="0" borderId="1" xfId="22" applyNumberFormat="1" applyFont="1" applyBorder="1" applyAlignment="1">
      <alignment horizontal="center" vertical="center"/>
    </xf>
    <xf numFmtId="167" fontId="0" fillId="0" borderId="1" xfId="2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0" fontId="3" fillId="0" borderId="1" xfId="22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vertical="center"/>
    </xf>
    <xf numFmtId="1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3" fillId="0" borderId="0" xfId="22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horizontal="center" vertical="center"/>
    </xf>
    <xf numFmtId="9" fontId="7" fillId="0" borderId="0" xfId="22" applyFont="1" applyAlignment="1">
      <alignment horizontal="center" vertical="center"/>
    </xf>
    <xf numFmtId="167" fontId="7" fillId="0" borderId="0" xfId="2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1" xfId="22" applyFont="1" applyBorder="1" applyAlignment="1">
      <alignment horizontal="center" vertical="center"/>
    </xf>
    <xf numFmtId="167" fontId="3" fillId="0" borderId="1" xfId="2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left" vertical="center" indent="2"/>
    </xf>
    <xf numFmtId="44" fontId="0" fillId="3" borderId="6" xfId="2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4" fontId="0" fillId="3" borderId="6" xfId="21" applyFont="1" applyFill="1" applyBorder="1" applyAlignment="1">
      <alignment vertical="center"/>
    </xf>
    <xf numFmtId="164" fontId="0" fillId="3" borderId="6" xfId="22" applyNumberFormat="1" applyFont="1" applyFill="1" applyBorder="1" applyAlignment="1">
      <alignment horizontal="center" vertical="center"/>
    </xf>
    <xf numFmtId="9" fontId="0" fillId="3" borderId="6" xfId="22" applyFont="1" applyFill="1" applyBorder="1" applyAlignment="1">
      <alignment horizontal="center" vertical="center"/>
    </xf>
    <xf numFmtId="165" fontId="0" fillId="3" borderId="6" xfId="2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168" fontId="0" fillId="0" borderId="1" xfId="2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indent="3"/>
    </xf>
    <xf numFmtId="0" fontId="3" fillId="0" borderId="4" xfId="0" applyFont="1" applyFill="1" applyBorder="1" applyAlignment="1">
      <alignment horizontal="center" vertical="center"/>
    </xf>
    <xf numFmtId="164" fontId="0" fillId="0" borderId="5" xfId="22" applyNumberFormat="1" applyFont="1" applyBorder="1" applyAlignment="1">
      <alignment horizontal="center" vertical="center"/>
    </xf>
    <xf numFmtId="166" fontId="0" fillId="0" borderId="1" xfId="22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166" fontId="0" fillId="0" borderId="2" xfId="2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21" applyFont="1" applyBorder="1" applyAlignment="1">
      <alignment vertical="center"/>
    </xf>
    <xf numFmtId="164" fontId="0" fillId="0" borderId="2" xfId="22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6" xfId="20" applyFont="1" applyBorder="1" applyAlignment="1">
      <alignment vertical="center"/>
    </xf>
    <xf numFmtId="44" fontId="7" fillId="0" borderId="6" xfId="0" applyNumberFormat="1" applyFont="1" applyBorder="1" applyAlignment="1">
      <alignment vertical="center"/>
    </xf>
    <xf numFmtId="44" fontId="7" fillId="0" borderId="6" xfId="21" applyFont="1" applyBorder="1" applyAlignment="1">
      <alignment vertical="center"/>
    </xf>
    <xf numFmtId="0" fontId="0" fillId="0" borderId="5" xfId="0" applyBorder="1" applyAlignment="1">
      <alignment vertical="center"/>
    </xf>
    <xf numFmtId="44" fontId="3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13" xfId="21" applyFont="1" applyBorder="1" applyAlignment="1">
      <alignment horizontal="center" vertical="center"/>
    </xf>
    <xf numFmtId="44" fontId="4" fillId="0" borderId="13" xfId="2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4" fontId="9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Moeda" xfId="21"/>
    <cellStyle name="Porcentagem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5</xdr:col>
      <xdr:colOff>504825</xdr:colOff>
      <xdr:row>0</xdr:row>
      <xdr:rowOff>1066800</xdr:rowOff>
    </xdr:to>
    <xdr:pic>
      <xdr:nvPicPr>
        <xdr:cNvPr id="2" name="Imagem 1" descr="SESO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822960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6"/>
  <sheetViews>
    <sheetView tabSelected="1" workbookViewId="0" topLeftCell="A82">
      <selection activeCell="E19" sqref="E19"/>
    </sheetView>
  </sheetViews>
  <sheetFormatPr defaultColWidth="9.140625" defaultRowHeight="21.75" customHeight="1"/>
  <cols>
    <col min="1" max="1" width="43.00390625" style="1" customWidth="1"/>
    <col min="2" max="2" width="22.28125" style="1" customWidth="1"/>
    <col min="3" max="3" width="17.140625" style="1" customWidth="1"/>
    <col min="4" max="4" width="17.8515625" style="1" customWidth="1"/>
    <col min="5" max="5" width="18.421875" style="1" customWidth="1"/>
    <col min="6" max="6" width="14.28125" style="1" bestFit="1" customWidth="1"/>
    <col min="7" max="7" width="20.421875" style="2" customWidth="1"/>
    <col min="8" max="8" width="21.00390625" style="2" customWidth="1"/>
    <col min="9" max="9" width="11.8515625" style="2" customWidth="1"/>
    <col min="10" max="10" width="57.57421875" style="2" customWidth="1"/>
    <col min="11" max="13" width="9.140625" style="2" customWidth="1"/>
    <col min="14" max="16384" width="9.140625" style="1" customWidth="1"/>
  </cols>
  <sheetData>
    <row r="1" ht="89.25" customHeight="1"/>
    <row r="2" spans="1:13" s="12" customFormat="1" ht="32.25" customHeight="1">
      <c r="A2" s="12" t="s">
        <v>0</v>
      </c>
      <c r="G2" s="77"/>
      <c r="H2" s="77"/>
      <c r="I2" s="77"/>
      <c r="J2" s="77"/>
      <c r="K2" s="77"/>
      <c r="L2" s="77"/>
      <c r="M2" s="77"/>
    </row>
    <row r="4" spans="1:13" s="40" customFormat="1" ht="21.95" customHeight="1">
      <c r="A4" s="79" t="s">
        <v>1</v>
      </c>
      <c r="B4" s="79" t="s">
        <v>2</v>
      </c>
      <c r="C4" s="79"/>
      <c r="D4" s="79"/>
      <c r="E4" s="79"/>
      <c r="G4" s="78"/>
      <c r="H4" s="78"/>
      <c r="I4" s="78"/>
      <c r="J4" s="78"/>
      <c r="K4" s="78"/>
      <c r="L4" s="78"/>
      <c r="M4" s="78"/>
    </row>
    <row r="5" spans="1:13" s="40" customFormat="1" ht="21.95" customHeight="1">
      <c r="A5" s="80" t="s">
        <v>3</v>
      </c>
      <c r="B5" s="81">
        <f>ROUND(B7/B6,2)</f>
        <v>3497.08</v>
      </c>
      <c r="C5" s="80"/>
      <c r="G5" s="78"/>
      <c r="H5" s="78"/>
      <c r="I5" s="78"/>
      <c r="J5" s="78"/>
      <c r="K5" s="78"/>
      <c r="L5" s="78"/>
      <c r="M5" s="78"/>
    </row>
    <row r="6" spans="1:13" s="40" customFormat="1" ht="21.95" customHeight="1">
      <c r="A6" s="80" t="s">
        <v>4</v>
      </c>
      <c r="B6" s="80">
        <v>30</v>
      </c>
      <c r="C6" s="80"/>
      <c r="G6" s="78"/>
      <c r="H6" s="78"/>
      <c r="I6" s="78"/>
      <c r="J6" s="78"/>
      <c r="K6" s="78"/>
      <c r="L6" s="78"/>
      <c r="M6" s="78"/>
    </row>
    <row r="7" spans="1:13" s="40" customFormat="1" ht="21.95" customHeight="1">
      <c r="A7" s="80" t="s">
        <v>5</v>
      </c>
      <c r="B7" s="81">
        <f>ROUND(B8/12,2)</f>
        <v>104912.25</v>
      </c>
      <c r="C7" s="80"/>
      <c r="G7" s="78"/>
      <c r="H7" s="78"/>
      <c r="I7" s="78"/>
      <c r="J7" s="78"/>
      <c r="K7" s="78"/>
      <c r="L7" s="78"/>
      <c r="M7" s="78"/>
    </row>
    <row r="8" spans="1:13" s="40" customFormat="1" ht="21.95" customHeight="1">
      <c r="A8" s="80" t="s">
        <v>47</v>
      </c>
      <c r="B8" s="81">
        <v>1258947.04</v>
      </c>
      <c r="C8" s="80"/>
      <c r="G8" s="78"/>
      <c r="H8" s="78"/>
      <c r="I8" s="78"/>
      <c r="J8" s="78"/>
      <c r="K8" s="78"/>
      <c r="L8" s="78"/>
      <c r="M8" s="78"/>
    </row>
    <row r="9" spans="1:13" s="40" customFormat="1" ht="21.95" customHeight="1">
      <c r="A9" s="80" t="s">
        <v>6</v>
      </c>
      <c r="B9" s="80">
        <v>13</v>
      </c>
      <c r="C9" s="80"/>
      <c r="G9" s="78"/>
      <c r="H9" s="78"/>
      <c r="I9" s="78"/>
      <c r="J9" s="78"/>
      <c r="K9" s="78"/>
      <c r="L9" s="78"/>
      <c r="M9" s="78"/>
    </row>
    <row r="10" spans="1:13" s="40" customFormat="1" ht="21.95" customHeight="1">
      <c r="A10" s="80" t="s">
        <v>7</v>
      </c>
      <c r="B10" s="80">
        <v>12</v>
      </c>
      <c r="C10" s="80"/>
      <c r="G10" s="78"/>
      <c r="H10" s="78"/>
      <c r="I10" s="78"/>
      <c r="J10" s="78"/>
      <c r="K10" s="78"/>
      <c r="L10" s="78"/>
      <c r="M10" s="78"/>
    </row>
    <row r="11" spans="1:13" s="40" customFormat="1" ht="21.95" customHeight="1">
      <c r="A11" s="80" t="s">
        <v>8</v>
      </c>
      <c r="B11" s="82">
        <f>G103</f>
        <v>13727833.08</v>
      </c>
      <c r="C11" s="80"/>
      <c r="G11" s="78"/>
      <c r="H11" s="78"/>
      <c r="I11" s="78"/>
      <c r="J11" s="78"/>
      <c r="K11" s="78"/>
      <c r="L11" s="78"/>
      <c r="M11" s="78"/>
    </row>
    <row r="12" spans="1:13" s="40" customFormat="1" ht="21.95" customHeight="1">
      <c r="A12" s="80" t="s">
        <v>9</v>
      </c>
      <c r="B12" s="82">
        <f>B11-B13</f>
        <v>10295874.81</v>
      </c>
      <c r="C12" s="80"/>
      <c r="G12" s="78"/>
      <c r="H12" s="78"/>
      <c r="I12" s="78"/>
      <c r="J12" s="78"/>
      <c r="K12" s="78"/>
      <c r="L12" s="78"/>
      <c r="M12" s="78"/>
    </row>
    <row r="13" spans="1:13" s="40" customFormat="1" ht="21.95" customHeight="1">
      <c r="A13" s="80" t="s">
        <v>10</v>
      </c>
      <c r="B13" s="83">
        <f>ROUND(B11*0.25,2)</f>
        <v>3431958.27</v>
      </c>
      <c r="C13" s="80"/>
      <c r="G13" s="78"/>
      <c r="H13" s="78"/>
      <c r="I13" s="78"/>
      <c r="J13" s="78"/>
      <c r="K13" s="78"/>
      <c r="L13" s="78"/>
      <c r="M13" s="78"/>
    </row>
    <row r="15" ht="21.95" customHeight="1">
      <c r="A15" s="13" t="s">
        <v>24</v>
      </c>
    </row>
    <row r="16" ht="7.5" customHeight="1"/>
    <row r="17" spans="1:13" s="74" customFormat="1" ht="21.95" customHeight="1">
      <c r="A17" s="75" t="s">
        <v>21</v>
      </c>
      <c r="B17" s="76" t="s">
        <v>13</v>
      </c>
      <c r="C17" s="76" t="s">
        <v>14</v>
      </c>
      <c r="D17" s="76" t="s">
        <v>15</v>
      </c>
      <c r="E17" s="76" t="s">
        <v>16</v>
      </c>
      <c r="F17" s="25"/>
      <c r="G17" s="76" t="s">
        <v>17</v>
      </c>
      <c r="H17" s="76" t="s">
        <v>19</v>
      </c>
      <c r="I17" s="76" t="s">
        <v>20</v>
      </c>
      <c r="J17" s="76" t="s">
        <v>22</v>
      </c>
      <c r="K17" s="73"/>
      <c r="L17" s="73"/>
      <c r="M17" s="73"/>
    </row>
    <row r="18" spans="1:10" ht="44.25" customHeight="1">
      <c r="A18" s="18" t="s">
        <v>12</v>
      </c>
      <c r="B18" s="19">
        <v>512500</v>
      </c>
      <c r="C18" s="44">
        <v>1</v>
      </c>
      <c r="D18" s="21">
        <f>C18*B18</f>
        <v>512500</v>
      </c>
      <c r="E18" s="22">
        <v>0.168</v>
      </c>
      <c r="F18" s="26"/>
      <c r="G18" s="19">
        <f>ROUND((D18*E18)/12,2)</f>
        <v>7175</v>
      </c>
      <c r="H18" s="23">
        <f>ROUND(G18/$G$71,4)</f>
        <v>0.1188</v>
      </c>
      <c r="I18" s="24">
        <f aca="true" t="shared" si="0" ref="I18:I20">ROUND((G18/$B$7)/13,5)</f>
        <v>0.00526</v>
      </c>
      <c r="J18" s="101" t="s">
        <v>23</v>
      </c>
    </row>
    <row r="19" spans="1:10" ht="44.25" customHeight="1">
      <c r="A19" s="18" t="s">
        <v>11</v>
      </c>
      <c r="B19" s="19">
        <f>B18*0.2</f>
        <v>102500</v>
      </c>
      <c r="C19" s="44">
        <v>1</v>
      </c>
      <c r="D19" s="21">
        <f>C19*B19</f>
        <v>102500</v>
      </c>
      <c r="E19" s="20">
        <v>1</v>
      </c>
      <c r="F19" s="27"/>
      <c r="G19" s="19">
        <f>ROUND((D19*E19)/12,2)</f>
        <v>8541.67</v>
      </c>
      <c r="H19" s="23">
        <f>ROUND(G19/$G$71,4)</f>
        <v>0.1415</v>
      </c>
      <c r="I19" s="24">
        <f t="shared" si="0"/>
        <v>0.00626</v>
      </c>
      <c r="J19" s="102"/>
    </row>
    <row r="20" spans="1:13" s="7" customFormat="1" ht="21.95" customHeight="1">
      <c r="A20" s="33" t="s">
        <v>18</v>
      </c>
      <c r="B20" s="34"/>
      <c r="C20" s="34"/>
      <c r="D20" s="34"/>
      <c r="E20" s="34"/>
      <c r="F20" s="36"/>
      <c r="G20" s="31">
        <f>SUM(G18:G19)</f>
        <v>15716.67</v>
      </c>
      <c r="H20" s="32">
        <f>SUM(H18:H19)</f>
        <v>0.2603</v>
      </c>
      <c r="I20" s="47">
        <f t="shared" si="0"/>
        <v>0.01152</v>
      </c>
      <c r="J20" s="45"/>
      <c r="K20" s="8"/>
      <c r="L20" s="8"/>
      <c r="M20" s="8"/>
    </row>
    <row r="21" ht="21.95" customHeight="1">
      <c r="I21" s="4"/>
    </row>
    <row r="22" spans="1:13" s="7" customFormat="1" ht="21.95" customHeight="1">
      <c r="A22" s="70" t="s">
        <v>25</v>
      </c>
      <c r="B22" s="71" t="s">
        <v>26</v>
      </c>
      <c r="C22" s="71" t="s">
        <v>14</v>
      </c>
      <c r="D22" s="71" t="s">
        <v>15</v>
      </c>
      <c r="E22" s="72" t="s">
        <v>27</v>
      </c>
      <c r="F22" s="25"/>
      <c r="G22" s="16" t="s">
        <v>17</v>
      </c>
      <c r="H22" s="16" t="s">
        <v>19</v>
      </c>
      <c r="I22" s="17" t="s">
        <v>20</v>
      </c>
      <c r="J22" s="16" t="s">
        <v>22</v>
      </c>
      <c r="K22" s="8"/>
      <c r="L22" s="8"/>
      <c r="M22" s="8"/>
    </row>
    <row r="23" spans="1:10" ht="21.95" customHeight="1">
      <c r="A23" s="18" t="s">
        <v>28</v>
      </c>
      <c r="B23" s="19">
        <v>2535.16</v>
      </c>
      <c r="C23" s="44">
        <v>2</v>
      </c>
      <c r="D23" s="21">
        <f aca="true" t="shared" si="1" ref="D23:D28">C23*B23</f>
        <v>5070.32</v>
      </c>
      <c r="E23" s="22">
        <v>1</v>
      </c>
      <c r="F23" s="26"/>
      <c r="G23" s="19">
        <f>ROUND((D23*E23),2)</f>
        <v>5070.32</v>
      </c>
      <c r="H23" s="23">
        <f aca="true" t="shared" si="2" ref="H23:H28">ROUND(G23/$G$71,4)</f>
        <v>0.084</v>
      </c>
      <c r="I23" s="24">
        <f aca="true" t="shared" si="3" ref="I23:I29">ROUND((G23/$B$7)/13,5)</f>
        <v>0.00372</v>
      </c>
      <c r="J23" s="28"/>
    </row>
    <row r="24" spans="1:10" ht="21.95" customHeight="1">
      <c r="A24" s="18" t="s">
        <v>29</v>
      </c>
      <c r="B24" s="19">
        <v>1395.42</v>
      </c>
      <c r="C24" s="44">
        <v>0</v>
      </c>
      <c r="D24" s="21">
        <f t="shared" si="1"/>
        <v>0</v>
      </c>
      <c r="E24" s="22">
        <v>1</v>
      </c>
      <c r="F24" s="26"/>
      <c r="G24" s="19">
        <f aca="true" t="shared" si="4" ref="G24:G28">ROUND((D24*E24),2)</f>
        <v>0</v>
      </c>
      <c r="H24" s="23">
        <f t="shared" si="2"/>
        <v>0</v>
      </c>
      <c r="I24" s="24">
        <f t="shared" si="3"/>
        <v>0</v>
      </c>
      <c r="J24" s="29"/>
    </row>
    <row r="25" spans="1:10" ht="21.95" customHeight="1">
      <c r="A25" s="18" t="s">
        <v>30</v>
      </c>
      <c r="B25" s="19">
        <v>2700</v>
      </c>
      <c r="C25" s="44">
        <v>0.2</v>
      </c>
      <c r="D25" s="21">
        <f t="shared" si="1"/>
        <v>540</v>
      </c>
      <c r="E25" s="22">
        <v>1</v>
      </c>
      <c r="F25" s="26"/>
      <c r="G25" s="19">
        <f t="shared" si="4"/>
        <v>540</v>
      </c>
      <c r="H25" s="23">
        <f t="shared" si="2"/>
        <v>0.0089</v>
      </c>
      <c r="I25" s="24">
        <f t="shared" si="3"/>
        <v>0.0004</v>
      </c>
      <c r="J25" s="29"/>
    </row>
    <row r="26" spans="1:10" ht="21.95" customHeight="1">
      <c r="A26" s="18" t="s">
        <v>31</v>
      </c>
      <c r="B26" s="19">
        <v>1321</v>
      </c>
      <c r="C26" s="44">
        <v>0.2</v>
      </c>
      <c r="D26" s="21">
        <f t="shared" si="1"/>
        <v>264.2</v>
      </c>
      <c r="E26" s="22">
        <v>1</v>
      </c>
      <c r="F26" s="26"/>
      <c r="G26" s="19">
        <f t="shared" si="4"/>
        <v>264.2</v>
      </c>
      <c r="H26" s="23">
        <f t="shared" si="2"/>
        <v>0.0044</v>
      </c>
      <c r="I26" s="24">
        <f t="shared" si="3"/>
        <v>0.00019</v>
      </c>
      <c r="J26" s="29"/>
    </row>
    <row r="27" spans="1:10" ht="21.95" customHeight="1">
      <c r="A27" s="18" t="s">
        <v>32</v>
      </c>
      <c r="B27" s="19">
        <v>13000</v>
      </c>
      <c r="C27" s="44">
        <v>0.2</v>
      </c>
      <c r="D27" s="21">
        <f t="shared" si="1"/>
        <v>2600</v>
      </c>
      <c r="E27" s="22">
        <v>1</v>
      </c>
      <c r="F27" s="26"/>
      <c r="G27" s="19">
        <f t="shared" si="4"/>
        <v>2600</v>
      </c>
      <c r="H27" s="23">
        <f t="shared" si="2"/>
        <v>0.0431</v>
      </c>
      <c r="I27" s="24">
        <f t="shared" si="3"/>
        <v>0.00191</v>
      </c>
      <c r="J27" s="30"/>
    </row>
    <row r="28" spans="1:10" ht="21.95" customHeight="1">
      <c r="A28" s="18" t="s">
        <v>33</v>
      </c>
      <c r="B28" s="19">
        <v>296.1</v>
      </c>
      <c r="C28" s="44">
        <v>2</v>
      </c>
      <c r="D28" s="21">
        <f t="shared" si="1"/>
        <v>592.2</v>
      </c>
      <c r="E28" s="22">
        <v>1</v>
      </c>
      <c r="F28" s="26"/>
      <c r="G28" s="19">
        <f t="shared" si="4"/>
        <v>592.2</v>
      </c>
      <c r="H28" s="23">
        <f t="shared" si="2"/>
        <v>0.0098</v>
      </c>
      <c r="I28" s="24">
        <f t="shared" si="3"/>
        <v>0.00043</v>
      </c>
      <c r="J28" s="30"/>
    </row>
    <row r="29" spans="1:13" s="7" customFormat="1" ht="21.95" customHeight="1">
      <c r="A29" s="33" t="s">
        <v>34</v>
      </c>
      <c r="B29" s="34"/>
      <c r="C29" s="34"/>
      <c r="D29" s="34"/>
      <c r="E29" s="34"/>
      <c r="F29" s="36"/>
      <c r="G29" s="31">
        <f>SUM(G23:G28)</f>
        <v>9066.720000000001</v>
      </c>
      <c r="H29" s="32">
        <f>SUM(H23:H28)</f>
        <v>0.15020000000000003</v>
      </c>
      <c r="I29" s="47">
        <f t="shared" si="3"/>
        <v>0.00665</v>
      </c>
      <c r="J29" s="45"/>
      <c r="K29" s="8"/>
      <c r="L29" s="8"/>
      <c r="M29" s="8"/>
    </row>
    <row r="31" spans="1:13" s="7" customFormat="1" ht="21.95" customHeight="1">
      <c r="A31" s="14" t="s">
        <v>35</v>
      </c>
      <c r="B31" s="16" t="s">
        <v>36</v>
      </c>
      <c r="C31" s="16" t="s">
        <v>14</v>
      </c>
      <c r="D31" s="16" t="s">
        <v>37</v>
      </c>
      <c r="E31" s="16" t="s">
        <v>16</v>
      </c>
      <c r="F31" s="25"/>
      <c r="G31" s="16" t="s">
        <v>17</v>
      </c>
      <c r="H31" s="16" t="s">
        <v>19</v>
      </c>
      <c r="I31" s="17" t="s">
        <v>20</v>
      </c>
      <c r="J31" s="16" t="s">
        <v>22</v>
      </c>
      <c r="K31" s="8"/>
      <c r="L31" s="8"/>
      <c r="M31" s="8"/>
    </row>
    <row r="32" spans="1:10" ht="21.95" customHeight="1">
      <c r="A32" s="18" t="s">
        <v>38</v>
      </c>
      <c r="B32" s="64">
        <v>0.08</v>
      </c>
      <c r="C32" s="44">
        <f>SUM(C23:C26)</f>
        <v>2.4000000000000004</v>
      </c>
      <c r="D32" s="21">
        <f>ROUND(SUM($D$23:$D$26)*B32,2)</f>
        <v>469.96</v>
      </c>
      <c r="E32" s="22">
        <v>1</v>
      </c>
      <c r="F32" s="26"/>
      <c r="G32" s="19">
        <f>ROUND((D32*E32),2)</f>
        <v>469.96</v>
      </c>
      <c r="H32" s="23">
        <f aca="true" t="shared" si="5" ref="H32:H39">ROUND(G32/$G$71,4)</f>
        <v>0.0078</v>
      </c>
      <c r="I32" s="24">
        <f aca="true" t="shared" si="6" ref="I32:I40">ROUND((G32/$B$7)/13,5)</f>
        <v>0.00034</v>
      </c>
      <c r="J32" s="28"/>
    </row>
    <row r="33" spans="1:10" ht="21.95" customHeight="1">
      <c r="A33" s="18" t="s">
        <v>39</v>
      </c>
      <c r="B33" s="64">
        <v>0.053</v>
      </c>
      <c r="C33" s="44">
        <f>C32</f>
        <v>2.4000000000000004</v>
      </c>
      <c r="D33" s="21">
        <f>ROUND(SUM($D$23:$D$26)*B33,2)</f>
        <v>311.35</v>
      </c>
      <c r="E33" s="22">
        <v>1</v>
      </c>
      <c r="F33" s="26"/>
      <c r="G33" s="19">
        <f aca="true" t="shared" si="7" ref="G33:G39">ROUND((D33*E33),2)</f>
        <v>311.35</v>
      </c>
      <c r="H33" s="23">
        <f t="shared" si="5"/>
        <v>0.0052</v>
      </c>
      <c r="I33" s="24">
        <f t="shared" si="6"/>
        <v>0.00023</v>
      </c>
      <c r="J33" s="29"/>
    </row>
    <row r="34" spans="1:10" ht="21.95" customHeight="1">
      <c r="A34" s="18" t="s">
        <v>40</v>
      </c>
      <c r="B34" s="64">
        <v>0.13</v>
      </c>
      <c r="C34" s="44">
        <f aca="true" t="shared" si="8" ref="C34:C35">C33</f>
        <v>2.4000000000000004</v>
      </c>
      <c r="D34" s="21">
        <f>ROUND(SUM($D$23:$D$26)*B34,2)</f>
        <v>763.69</v>
      </c>
      <c r="E34" s="22">
        <v>1</v>
      </c>
      <c r="F34" s="26"/>
      <c r="G34" s="19">
        <f t="shared" si="7"/>
        <v>763.69</v>
      </c>
      <c r="H34" s="23">
        <f t="shared" si="5"/>
        <v>0.0126</v>
      </c>
      <c r="I34" s="24">
        <f t="shared" si="6"/>
        <v>0.00056</v>
      </c>
      <c r="J34" s="29"/>
    </row>
    <row r="35" spans="1:10" ht="21.95" customHeight="1">
      <c r="A35" s="18" t="s">
        <v>41</v>
      </c>
      <c r="B35" s="64">
        <v>0.0975</v>
      </c>
      <c r="C35" s="44">
        <f t="shared" si="8"/>
        <v>2.4000000000000004</v>
      </c>
      <c r="D35" s="21">
        <f>ROUND(SUM($D$23:$D$26)*B35,2)</f>
        <v>572.77</v>
      </c>
      <c r="E35" s="22">
        <v>1</v>
      </c>
      <c r="F35" s="26"/>
      <c r="G35" s="19">
        <f t="shared" si="7"/>
        <v>572.77</v>
      </c>
      <c r="H35" s="23">
        <f t="shared" si="5"/>
        <v>0.0095</v>
      </c>
      <c r="I35" s="24">
        <f t="shared" si="6"/>
        <v>0.00042</v>
      </c>
      <c r="J35" s="29"/>
    </row>
    <row r="36" spans="1:10" ht="21.95" customHeight="1">
      <c r="A36" s="18" t="s">
        <v>42</v>
      </c>
      <c r="B36" s="64">
        <v>0</v>
      </c>
      <c r="C36" s="44">
        <v>2.4</v>
      </c>
      <c r="D36" s="21">
        <f aca="true" t="shared" si="9" ref="D36:D39">ROUND(SUM($D$23:$D$26)*B36,2)</f>
        <v>0</v>
      </c>
      <c r="E36" s="22">
        <v>1</v>
      </c>
      <c r="F36" s="26"/>
      <c r="G36" s="19">
        <f t="shared" si="7"/>
        <v>0</v>
      </c>
      <c r="H36" s="23">
        <f t="shared" si="5"/>
        <v>0</v>
      </c>
      <c r="I36" s="24">
        <f t="shared" si="6"/>
        <v>0</v>
      </c>
      <c r="J36" s="30"/>
    </row>
    <row r="37" spans="1:10" ht="21.95" customHeight="1">
      <c r="A37" s="18" t="s">
        <v>43</v>
      </c>
      <c r="B37" s="64">
        <v>0.3</v>
      </c>
      <c r="C37" s="44">
        <v>0</v>
      </c>
      <c r="D37" s="21">
        <f>ROUND(SUM($D$23:$D$26)*B37,2)</f>
        <v>1762.36</v>
      </c>
      <c r="E37" s="22">
        <v>1</v>
      </c>
      <c r="F37" s="26"/>
      <c r="G37" s="19">
        <f aca="true" t="shared" si="10" ref="G37:G38">ROUND((D37*E37),2)</f>
        <v>1762.36</v>
      </c>
      <c r="H37" s="23">
        <f t="shared" si="5"/>
        <v>0.0292</v>
      </c>
      <c r="I37" s="24">
        <f t="shared" si="6"/>
        <v>0.00129</v>
      </c>
      <c r="J37" s="29"/>
    </row>
    <row r="38" spans="1:10" ht="21.95" customHeight="1">
      <c r="A38" s="18" t="s">
        <v>44</v>
      </c>
      <c r="B38" s="64">
        <v>0.0477</v>
      </c>
      <c r="C38" s="44">
        <v>2.4</v>
      </c>
      <c r="D38" s="21">
        <f aca="true" t="shared" si="11" ref="D38">ROUND(SUM($D$23:$D$26)*B38,2)</f>
        <v>280.21</v>
      </c>
      <c r="E38" s="22">
        <v>1</v>
      </c>
      <c r="F38" s="26"/>
      <c r="G38" s="19">
        <f t="shared" si="10"/>
        <v>280.21</v>
      </c>
      <c r="H38" s="23">
        <f t="shared" si="5"/>
        <v>0.0046</v>
      </c>
      <c r="I38" s="24">
        <f t="shared" si="6"/>
        <v>0.00021</v>
      </c>
      <c r="J38" s="30"/>
    </row>
    <row r="39" spans="1:10" ht="21.95" customHeight="1">
      <c r="A39" s="65" t="s">
        <v>45</v>
      </c>
      <c r="B39" s="66">
        <v>0.04</v>
      </c>
      <c r="C39" s="67">
        <v>2.4</v>
      </c>
      <c r="D39" s="68">
        <f t="shared" si="9"/>
        <v>234.98</v>
      </c>
      <c r="E39" s="69">
        <v>1</v>
      </c>
      <c r="F39" s="27"/>
      <c r="G39" s="19">
        <f t="shared" si="7"/>
        <v>234.98</v>
      </c>
      <c r="H39" s="23">
        <f t="shared" si="5"/>
        <v>0.0039</v>
      </c>
      <c r="I39" s="24">
        <f t="shared" si="6"/>
        <v>0.00017</v>
      </c>
      <c r="J39" s="30"/>
    </row>
    <row r="40" spans="1:13" s="7" customFormat="1" ht="21.95" customHeight="1">
      <c r="A40" s="33" t="s">
        <v>46</v>
      </c>
      <c r="B40" s="34"/>
      <c r="C40" s="34"/>
      <c r="D40" s="34"/>
      <c r="E40" s="34"/>
      <c r="F40" s="36"/>
      <c r="G40" s="31">
        <f>SUM(G32:G39)</f>
        <v>4395.32</v>
      </c>
      <c r="H40" s="32">
        <f>SUM(H32:H39)</f>
        <v>0.07279999999999999</v>
      </c>
      <c r="I40" s="47">
        <f t="shared" si="6"/>
        <v>0.00322</v>
      </c>
      <c r="J40" s="45"/>
      <c r="K40" s="8"/>
      <c r="L40" s="8"/>
      <c r="M40" s="8"/>
    </row>
    <row r="41" ht="21.95" customHeight="1">
      <c r="A41" s="5" t="s">
        <v>48</v>
      </c>
    </row>
    <row r="43" spans="1:13" s="7" customFormat="1" ht="21.95" customHeight="1">
      <c r="A43" s="14" t="s">
        <v>49</v>
      </c>
      <c r="B43" s="16" t="s">
        <v>51</v>
      </c>
      <c r="C43" s="16" t="s">
        <v>14</v>
      </c>
      <c r="D43" s="16" t="s">
        <v>52</v>
      </c>
      <c r="E43" s="16" t="s">
        <v>16</v>
      </c>
      <c r="F43" s="25"/>
      <c r="G43" s="16" t="s">
        <v>17</v>
      </c>
      <c r="H43" s="16" t="s">
        <v>19</v>
      </c>
      <c r="I43" s="17" t="s">
        <v>20</v>
      </c>
      <c r="J43" s="16" t="s">
        <v>22</v>
      </c>
      <c r="K43" s="8"/>
      <c r="L43" s="8"/>
      <c r="M43" s="8"/>
    </row>
    <row r="44" spans="1:10" ht="21.95" customHeight="1">
      <c r="A44" s="18" t="s">
        <v>50</v>
      </c>
      <c r="B44" s="19">
        <f>ROUND(B18*0.02,2)</f>
        <v>10250</v>
      </c>
      <c r="C44" s="44">
        <v>1</v>
      </c>
      <c r="D44" s="21">
        <f>B44*C44</f>
        <v>10250</v>
      </c>
      <c r="E44" s="22">
        <v>1</v>
      </c>
      <c r="F44" s="26"/>
      <c r="G44" s="19">
        <f>ROUND((D44*E44/12),2)</f>
        <v>854.17</v>
      </c>
      <c r="H44" s="23">
        <f aca="true" t="shared" si="12" ref="H44:H49">ROUND(G44/$G$71,4)</f>
        <v>0.0141</v>
      </c>
      <c r="I44" s="24">
        <f aca="true" t="shared" si="13" ref="I44:I50">ROUND((G44/$B$7)/13,5)</f>
        <v>0.00063</v>
      </c>
      <c r="J44" s="28"/>
    </row>
    <row r="45" spans="1:10" ht="21.95" customHeight="1">
      <c r="A45" s="18" t="s">
        <v>53</v>
      </c>
      <c r="B45" s="19">
        <v>10.53</v>
      </c>
      <c r="C45" s="44">
        <v>0</v>
      </c>
      <c r="D45" s="21">
        <f aca="true" t="shared" si="14" ref="D45:D49">B45*C45</f>
        <v>0</v>
      </c>
      <c r="E45" s="22">
        <v>1</v>
      </c>
      <c r="F45" s="26"/>
      <c r="G45" s="19">
        <f aca="true" t="shared" si="15" ref="G45:G49">ROUND((D45*E45),2)</f>
        <v>0</v>
      </c>
      <c r="H45" s="23">
        <f t="shared" si="12"/>
        <v>0</v>
      </c>
      <c r="I45" s="24">
        <f t="shared" si="13"/>
        <v>0</v>
      </c>
      <c r="J45" s="29"/>
    </row>
    <row r="46" spans="1:10" ht="21.95" customHeight="1">
      <c r="A46" s="18" t="s">
        <v>54</v>
      </c>
      <c r="B46" s="19">
        <v>3864</v>
      </c>
      <c r="C46" s="44">
        <v>1</v>
      </c>
      <c r="D46" s="21">
        <f t="shared" si="14"/>
        <v>3864</v>
      </c>
      <c r="E46" s="22">
        <v>1</v>
      </c>
      <c r="F46" s="26"/>
      <c r="G46" s="19">
        <f>ROUND((D46*E46/12),2)</f>
        <v>322</v>
      </c>
      <c r="H46" s="23">
        <f t="shared" si="12"/>
        <v>0.0053</v>
      </c>
      <c r="I46" s="24">
        <f t="shared" si="13"/>
        <v>0.00024</v>
      </c>
      <c r="J46" s="29"/>
    </row>
    <row r="47" spans="1:10" ht="21.95" customHeight="1">
      <c r="A47" s="18" t="s">
        <v>55</v>
      </c>
      <c r="B47" s="19">
        <v>1850</v>
      </c>
      <c r="C47" s="44">
        <f aca="true" t="shared" si="16" ref="C47">C46</f>
        <v>1</v>
      </c>
      <c r="D47" s="21">
        <f t="shared" si="14"/>
        <v>1850</v>
      </c>
      <c r="E47" s="22">
        <v>1</v>
      </c>
      <c r="F47" s="26"/>
      <c r="G47" s="19">
        <f>ROUND((D47*E47/12),2)</f>
        <v>154.17</v>
      </c>
      <c r="H47" s="23">
        <f t="shared" si="12"/>
        <v>0.0026</v>
      </c>
      <c r="I47" s="24">
        <f t="shared" si="13"/>
        <v>0.00011</v>
      </c>
      <c r="J47" s="29"/>
    </row>
    <row r="48" spans="1:10" ht="21.95" customHeight="1">
      <c r="A48" s="18" t="s">
        <v>56</v>
      </c>
      <c r="B48" s="19">
        <v>3794.76</v>
      </c>
      <c r="C48" s="44">
        <v>1</v>
      </c>
      <c r="D48" s="21">
        <f t="shared" si="14"/>
        <v>3794.76</v>
      </c>
      <c r="E48" s="22">
        <v>1</v>
      </c>
      <c r="F48" s="26"/>
      <c r="G48" s="19">
        <f>ROUND((D48*E48/12),2)</f>
        <v>316.23</v>
      </c>
      <c r="H48" s="23">
        <f t="shared" si="12"/>
        <v>0.0052</v>
      </c>
      <c r="I48" s="24">
        <f t="shared" si="13"/>
        <v>0.00023</v>
      </c>
      <c r="J48" s="30"/>
    </row>
    <row r="49" spans="1:10" ht="21.95" customHeight="1">
      <c r="A49" s="18" t="s">
        <v>57</v>
      </c>
      <c r="B49" s="19">
        <v>0</v>
      </c>
      <c r="C49" s="44">
        <v>0</v>
      </c>
      <c r="D49" s="21">
        <f t="shared" si="14"/>
        <v>0</v>
      </c>
      <c r="E49" s="22">
        <v>1</v>
      </c>
      <c r="F49" s="27"/>
      <c r="G49" s="19">
        <f t="shared" si="15"/>
        <v>0</v>
      </c>
      <c r="H49" s="23">
        <f t="shared" si="12"/>
        <v>0</v>
      </c>
      <c r="I49" s="24">
        <f t="shared" si="13"/>
        <v>0</v>
      </c>
      <c r="J49" s="29"/>
    </row>
    <row r="50" spans="1:13" s="7" customFormat="1" ht="21.95" customHeight="1">
      <c r="A50" s="33" t="s">
        <v>58</v>
      </c>
      <c r="B50" s="34"/>
      <c r="C50" s="34"/>
      <c r="D50" s="34"/>
      <c r="E50" s="34"/>
      <c r="F50" s="36"/>
      <c r="G50" s="31">
        <f>SUM(G44:G49)</f>
        <v>1646.5700000000002</v>
      </c>
      <c r="H50" s="32">
        <f>SUM(H44:H49)</f>
        <v>0.0272</v>
      </c>
      <c r="I50" s="47">
        <f t="shared" si="13"/>
        <v>0.00121</v>
      </c>
      <c r="J50" s="45"/>
      <c r="K50" s="8"/>
      <c r="L50" s="8"/>
      <c r="M50" s="8"/>
    </row>
    <row r="52" spans="1:13" s="7" customFormat="1" ht="21.75" customHeight="1">
      <c r="A52" s="14" t="s">
        <v>59</v>
      </c>
      <c r="B52" s="16" t="s">
        <v>61</v>
      </c>
      <c r="C52" s="16" t="s">
        <v>62</v>
      </c>
      <c r="D52" s="16" t="s">
        <v>63</v>
      </c>
      <c r="E52" s="16" t="s">
        <v>52</v>
      </c>
      <c r="F52" s="16" t="s">
        <v>16</v>
      </c>
      <c r="G52" s="16" t="s">
        <v>17</v>
      </c>
      <c r="H52" s="16" t="s">
        <v>19</v>
      </c>
      <c r="I52" s="17" t="s">
        <v>20</v>
      </c>
      <c r="J52" s="16" t="s">
        <v>22</v>
      </c>
      <c r="K52" s="8"/>
      <c r="L52" s="8"/>
      <c r="M52" s="8"/>
    </row>
    <row r="53" spans="1:10" ht="21.75" customHeight="1">
      <c r="A53" s="18" t="s">
        <v>60</v>
      </c>
      <c r="B53" s="59">
        <v>7.134</v>
      </c>
      <c r="C53" s="44">
        <v>3</v>
      </c>
      <c r="D53" s="60">
        <f>ROUND(($B$8/$C$53)/B9,2)</f>
        <v>32280.69</v>
      </c>
      <c r="E53" s="21">
        <f>B53*D53</f>
        <v>230290.44246</v>
      </c>
      <c r="F53" s="22">
        <v>1</v>
      </c>
      <c r="G53" s="19">
        <f>ROUND((E53/12),2)</f>
        <v>19190.87</v>
      </c>
      <c r="H53" s="23">
        <f aca="true" t="shared" si="17" ref="H53">ROUND(G53/$G$71,4)</f>
        <v>0.3179</v>
      </c>
      <c r="I53" s="24">
        <f>ROUND((G53/$B$7)/13,5)</f>
        <v>0.01407</v>
      </c>
      <c r="J53" s="56"/>
    </row>
    <row r="54" spans="1:10" ht="21.95" customHeight="1">
      <c r="A54" s="48" t="s">
        <v>64</v>
      </c>
      <c r="B54" s="49"/>
      <c r="C54" s="50"/>
      <c r="D54" s="51"/>
      <c r="E54" s="52"/>
      <c r="F54" s="53"/>
      <c r="G54" s="49"/>
      <c r="H54" s="54"/>
      <c r="I54" s="55"/>
      <c r="J54" s="57"/>
    </row>
    <row r="55" spans="1:10" ht="21.95" customHeight="1">
      <c r="A55" s="61" t="s">
        <v>65</v>
      </c>
      <c r="B55" s="19">
        <v>30</v>
      </c>
      <c r="C55" s="44">
        <v>30000</v>
      </c>
      <c r="D55" s="60">
        <f>ROUND(($B$8/C55)/$B$9,2)*12</f>
        <v>38.76</v>
      </c>
      <c r="E55" s="21">
        <f>B55*D55</f>
        <v>1162.8</v>
      </c>
      <c r="F55" s="22">
        <v>1</v>
      </c>
      <c r="G55" s="19">
        <f>ROUND((E55/12),2)</f>
        <v>96.9</v>
      </c>
      <c r="H55" s="23">
        <f aca="true" t="shared" si="18" ref="H55:H59">ROUND(G55/$G$71,4)</f>
        <v>0.0016</v>
      </c>
      <c r="I55" s="24">
        <f>ROUND((G55/$B$7)/13,5)</f>
        <v>7E-05</v>
      </c>
      <c r="J55" s="57"/>
    </row>
    <row r="56" spans="1:10" ht="21.95" customHeight="1">
      <c r="A56" s="61" t="s">
        <v>66</v>
      </c>
      <c r="B56" s="19">
        <v>30</v>
      </c>
      <c r="C56" s="44">
        <v>80000</v>
      </c>
      <c r="D56" s="60">
        <f>ROUND(($B$8/C56)/$B$9,2)*6</f>
        <v>7.26</v>
      </c>
      <c r="E56" s="21">
        <f aca="true" t="shared" si="19" ref="E56:E57">B56*D56</f>
        <v>217.79999999999998</v>
      </c>
      <c r="F56" s="22">
        <v>1</v>
      </c>
      <c r="G56" s="19">
        <f aca="true" t="shared" si="20" ref="G56:G57">ROUND((E56/12),2)</f>
        <v>18.15</v>
      </c>
      <c r="H56" s="23">
        <f t="shared" si="18"/>
        <v>0.0003</v>
      </c>
      <c r="I56" s="24">
        <f aca="true" t="shared" si="21" ref="I56:I60">ROUND((G56/$B$7)/13,5)</f>
        <v>1E-05</v>
      </c>
      <c r="J56" s="57"/>
    </row>
    <row r="57" spans="1:10" ht="21.95" customHeight="1">
      <c r="A57" s="61" t="s">
        <v>67</v>
      </c>
      <c r="B57" s="19">
        <v>30</v>
      </c>
      <c r="C57" s="44">
        <v>80000</v>
      </c>
      <c r="D57" s="60">
        <f>ROUND(($B$8/C57)/$B$9,2)*5</f>
        <v>6.05</v>
      </c>
      <c r="E57" s="21">
        <f t="shared" si="19"/>
        <v>181.5</v>
      </c>
      <c r="F57" s="22">
        <v>1</v>
      </c>
      <c r="G57" s="19">
        <f t="shared" si="20"/>
        <v>15.13</v>
      </c>
      <c r="H57" s="23">
        <f t="shared" si="18"/>
        <v>0.0003</v>
      </c>
      <c r="I57" s="24">
        <f t="shared" si="21"/>
        <v>1E-05</v>
      </c>
      <c r="J57" s="58"/>
    </row>
    <row r="58" spans="1:10" ht="21.95" customHeight="1">
      <c r="A58" s="18" t="s">
        <v>68</v>
      </c>
      <c r="B58" s="19">
        <v>2700</v>
      </c>
      <c r="C58" s="44">
        <v>50000</v>
      </c>
      <c r="D58" s="60">
        <f>ROUND(($B$8/C58)/$B$9,2)*2</f>
        <v>3.88</v>
      </c>
      <c r="E58" s="21">
        <f aca="true" t="shared" si="22" ref="E58:E59">B58*D58</f>
        <v>10476</v>
      </c>
      <c r="F58" s="63">
        <v>1</v>
      </c>
      <c r="G58" s="19">
        <f aca="true" t="shared" si="23" ref="G58:G59">ROUND((E58/12),2)</f>
        <v>873</v>
      </c>
      <c r="H58" s="23">
        <f t="shared" si="18"/>
        <v>0.0145</v>
      </c>
      <c r="I58" s="24">
        <f t="shared" si="21"/>
        <v>0.00064</v>
      </c>
      <c r="J58" s="57"/>
    </row>
    <row r="59" spans="1:10" ht="21.95" customHeight="1">
      <c r="A59" s="18" t="s">
        <v>69</v>
      </c>
      <c r="B59" s="19">
        <v>900</v>
      </c>
      <c r="C59" s="44">
        <v>40000</v>
      </c>
      <c r="D59" s="60">
        <f>ROUND(($B$8/C59)/$B$9,2)*4</f>
        <v>9.68</v>
      </c>
      <c r="E59" s="21">
        <f t="shared" si="22"/>
        <v>8712</v>
      </c>
      <c r="F59" s="63">
        <v>1</v>
      </c>
      <c r="G59" s="19">
        <f t="shared" si="23"/>
        <v>726</v>
      </c>
      <c r="H59" s="23">
        <f t="shared" si="18"/>
        <v>0.012</v>
      </c>
      <c r="I59" s="24">
        <f t="shared" si="21"/>
        <v>0.00053</v>
      </c>
      <c r="J59" s="57"/>
    </row>
    <row r="60" spans="1:13" s="7" customFormat="1" ht="21.95" customHeight="1">
      <c r="A60" s="33" t="s">
        <v>70</v>
      </c>
      <c r="B60" s="34"/>
      <c r="C60" s="34"/>
      <c r="D60" s="34"/>
      <c r="E60" s="34"/>
      <c r="F60" s="36"/>
      <c r="G60" s="31">
        <f>SUM(G53:G59)</f>
        <v>20920.050000000003</v>
      </c>
      <c r="H60" s="32">
        <f>SUM(H53:H59)</f>
        <v>0.3466000000000001</v>
      </c>
      <c r="I60" s="47">
        <f t="shared" si="21"/>
        <v>0.01534</v>
      </c>
      <c r="J60" s="62"/>
      <c r="K60" s="8"/>
      <c r="L60" s="8"/>
      <c r="M60" s="8"/>
    </row>
    <row r="61" ht="21.95" customHeight="1">
      <c r="A61" s="5" t="s">
        <v>71</v>
      </c>
    </row>
    <row r="63" spans="1:13" s="7" customFormat="1" ht="21.95" customHeight="1">
      <c r="A63" s="14" t="s">
        <v>72</v>
      </c>
      <c r="B63" s="16" t="s">
        <v>51</v>
      </c>
      <c r="C63" s="16" t="s">
        <v>14</v>
      </c>
      <c r="D63" s="16" t="s">
        <v>52</v>
      </c>
      <c r="E63" s="16" t="s">
        <v>16</v>
      </c>
      <c r="F63" s="25"/>
      <c r="G63" s="16" t="s">
        <v>17</v>
      </c>
      <c r="H63" s="16" t="s">
        <v>19</v>
      </c>
      <c r="I63" s="17" t="s">
        <v>20</v>
      </c>
      <c r="J63" s="16" t="s">
        <v>22</v>
      </c>
      <c r="K63" s="8"/>
      <c r="L63" s="8"/>
      <c r="M63" s="8"/>
    </row>
    <row r="64" spans="1:10" ht="21.95" customHeight="1">
      <c r="A64" s="18" t="s">
        <v>73</v>
      </c>
      <c r="B64" s="19">
        <v>80</v>
      </c>
      <c r="C64" s="44">
        <v>1</v>
      </c>
      <c r="D64" s="21">
        <f>B64*C64</f>
        <v>80</v>
      </c>
      <c r="E64" s="22">
        <v>1</v>
      </c>
      <c r="F64" s="26"/>
      <c r="G64" s="19">
        <f>ROUND((D64*E64),2)</f>
        <v>80</v>
      </c>
      <c r="H64" s="23">
        <f aca="true" t="shared" si="24" ref="H64:H68">ROUND(G64/$G$71,4)</f>
        <v>0.0013</v>
      </c>
      <c r="I64" s="24">
        <f aca="true" t="shared" si="25" ref="I64:I69">ROUND((G64/$B$7)/13,5)</f>
        <v>6E-05</v>
      </c>
      <c r="J64" s="28"/>
    </row>
    <row r="65" spans="1:10" ht="21.95" customHeight="1">
      <c r="A65" s="18" t="s">
        <v>74</v>
      </c>
      <c r="B65" s="19">
        <v>250</v>
      </c>
      <c r="C65" s="44">
        <v>2</v>
      </c>
      <c r="D65" s="21">
        <f aca="true" t="shared" si="26" ref="D65:D68">B65*C65</f>
        <v>500</v>
      </c>
      <c r="E65" s="22">
        <v>1</v>
      </c>
      <c r="F65" s="26"/>
      <c r="G65" s="19">
        <f aca="true" t="shared" si="27" ref="G65:G68">ROUND((D65*E65),2)</f>
        <v>500</v>
      </c>
      <c r="H65" s="23">
        <f t="shared" si="24"/>
        <v>0.0083</v>
      </c>
      <c r="I65" s="24">
        <f t="shared" si="25"/>
        <v>0.00037</v>
      </c>
      <c r="J65" s="29"/>
    </row>
    <row r="66" spans="1:10" ht="21.95" customHeight="1">
      <c r="A66" s="18" t="s">
        <v>75</v>
      </c>
      <c r="B66" s="19">
        <v>35</v>
      </c>
      <c r="C66" s="44">
        <v>30</v>
      </c>
      <c r="D66" s="21">
        <f t="shared" si="26"/>
        <v>1050</v>
      </c>
      <c r="E66" s="22">
        <v>1</v>
      </c>
      <c r="F66" s="26"/>
      <c r="G66" s="19">
        <f t="shared" si="27"/>
        <v>1050</v>
      </c>
      <c r="H66" s="23">
        <f t="shared" si="24"/>
        <v>0.0174</v>
      </c>
      <c r="I66" s="24">
        <f t="shared" si="25"/>
        <v>0.00077</v>
      </c>
      <c r="J66" s="29"/>
    </row>
    <row r="67" spans="1:10" ht="21.95" customHeight="1">
      <c r="A67" s="18" t="s">
        <v>76</v>
      </c>
      <c r="B67" s="19">
        <v>2000</v>
      </c>
      <c r="C67" s="44">
        <v>1</v>
      </c>
      <c r="D67" s="21">
        <f t="shared" si="26"/>
        <v>2000</v>
      </c>
      <c r="E67" s="22">
        <v>1</v>
      </c>
      <c r="F67" s="26"/>
      <c r="G67" s="19">
        <f t="shared" si="27"/>
        <v>2000</v>
      </c>
      <c r="H67" s="23">
        <f t="shared" si="24"/>
        <v>0.0331</v>
      </c>
      <c r="I67" s="24">
        <f t="shared" si="25"/>
        <v>0.00147</v>
      </c>
      <c r="J67" s="29"/>
    </row>
    <row r="68" spans="1:10" ht="21.95" customHeight="1">
      <c r="A68" s="18" t="s">
        <v>77</v>
      </c>
      <c r="B68" s="19">
        <v>5000</v>
      </c>
      <c r="C68" s="44">
        <v>1</v>
      </c>
      <c r="D68" s="21">
        <f t="shared" si="26"/>
        <v>5000</v>
      </c>
      <c r="E68" s="22">
        <v>1</v>
      </c>
      <c r="F68" s="26"/>
      <c r="G68" s="19">
        <f t="shared" si="27"/>
        <v>5000</v>
      </c>
      <c r="H68" s="23">
        <f t="shared" si="24"/>
        <v>0.0828</v>
      </c>
      <c r="I68" s="24">
        <f t="shared" si="25"/>
        <v>0.00367</v>
      </c>
      <c r="J68" s="30"/>
    </row>
    <row r="69" spans="1:13" s="7" customFormat="1" ht="21.95" customHeight="1">
      <c r="A69" s="33" t="s">
        <v>78</v>
      </c>
      <c r="B69" s="34"/>
      <c r="C69" s="34"/>
      <c r="D69" s="34"/>
      <c r="E69" s="34"/>
      <c r="F69" s="36"/>
      <c r="G69" s="31">
        <f>SUM(G64:G68)</f>
        <v>8630</v>
      </c>
      <c r="H69" s="32">
        <f>SUM(H64:H68)</f>
        <v>0.1429</v>
      </c>
      <c r="I69" s="47">
        <f t="shared" si="25"/>
        <v>0.00633</v>
      </c>
      <c r="J69" s="45"/>
      <c r="K69" s="8"/>
      <c r="L69" s="8"/>
      <c r="M69" s="8"/>
    </row>
    <row r="71" spans="1:9" ht="21.95" customHeight="1">
      <c r="A71" s="39" t="s">
        <v>79</v>
      </c>
      <c r="B71" s="40"/>
      <c r="C71" s="40"/>
      <c r="D71" s="40"/>
      <c r="E71" s="40"/>
      <c r="F71" s="40"/>
      <c r="G71" s="41">
        <f>G20+G29+G40+G50+G60+G69</f>
        <v>60375.33</v>
      </c>
      <c r="H71" s="42"/>
      <c r="I71" s="43">
        <f>ROUND((G71/$B$7)/13,5)</f>
        <v>0.04427</v>
      </c>
    </row>
    <row r="72" ht="21.95" customHeight="1">
      <c r="G72" s="6" t="s">
        <v>80</v>
      </c>
    </row>
    <row r="74" spans="1:13" s="7" customFormat="1" ht="21.95" customHeight="1">
      <c r="A74" s="14" t="s">
        <v>81</v>
      </c>
      <c r="B74" s="15" t="s">
        <v>80</v>
      </c>
      <c r="C74" s="16" t="s">
        <v>82</v>
      </c>
      <c r="D74" s="16" t="s">
        <v>52</v>
      </c>
      <c r="E74" s="16" t="s">
        <v>16</v>
      </c>
      <c r="F74" s="25"/>
      <c r="G74" s="16" t="s">
        <v>17</v>
      </c>
      <c r="H74" s="16" t="s">
        <v>19</v>
      </c>
      <c r="I74" s="17" t="s">
        <v>20</v>
      </c>
      <c r="J74" s="16" t="s">
        <v>22</v>
      </c>
      <c r="K74" s="8"/>
      <c r="L74" s="8"/>
      <c r="M74" s="8"/>
    </row>
    <row r="75" spans="1:10" ht="21.95" customHeight="1">
      <c r="A75" s="18" t="s">
        <v>83</v>
      </c>
      <c r="B75" s="19">
        <f>G71</f>
        <v>60375.33</v>
      </c>
      <c r="C75" s="23">
        <v>0</v>
      </c>
      <c r="D75" s="21">
        <f>B75*C75</f>
        <v>0</v>
      </c>
      <c r="E75" s="22">
        <v>1</v>
      </c>
      <c r="F75" s="26"/>
      <c r="G75" s="19">
        <f>ROUND((D75*E75),2)</f>
        <v>0</v>
      </c>
      <c r="H75" s="20">
        <f>G75/G77</f>
        <v>0</v>
      </c>
      <c r="I75" s="24">
        <f aca="true" t="shared" si="28" ref="I75:I77">ROUND((G75/$B$7)/13,5)</f>
        <v>0</v>
      </c>
      <c r="J75" s="28"/>
    </row>
    <row r="76" spans="1:10" ht="21.95" customHeight="1">
      <c r="A76" s="18" t="s">
        <v>84</v>
      </c>
      <c r="B76" s="19">
        <f>G71</f>
        <v>60375.33</v>
      </c>
      <c r="C76" s="23">
        <v>0.25</v>
      </c>
      <c r="D76" s="21">
        <f aca="true" t="shared" si="29" ref="D76">B76*C76</f>
        <v>15093.8325</v>
      </c>
      <c r="E76" s="22">
        <v>1</v>
      </c>
      <c r="F76" s="27"/>
      <c r="G76" s="19">
        <f aca="true" t="shared" si="30" ref="G76">ROUND((D76*E76),2)</f>
        <v>15093.83</v>
      </c>
      <c r="H76" s="20">
        <f>G76/G77</f>
        <v>1</v>
      </c>
      <c r="I76" s="24">
        <f t="shared" si="28"/>
        <v>0.01107</v>
      </c>
      <c r="J76" s="29"/>
    </row>
    <row r="77" spans="1:13" s="7" customFormat="1" ht="21.95" customHeight="1">
      <c r="A77" s="33" t="s">
        <v>85</v>
      </c>
      <c r="B77" s="34"/>
      <c r="C77" s="34"/>
      <c r="D77" s="34"/>
      <c r="E77" s="34"/>
      <c r="F77" s="36"/>
      <c r="G77" s="31">
        <f>SUM(G75:G76)</f>
        <v>15093.83</v>
      </c>
      <c r="H77" s="46">
        <f>SUM(H75:H76)</f>
        <v>1</v>
      </c>
      <c r="I77" s="47">
        <f t="shared" si="28"/>
        <v>0.01107</v>
      </c>
      <c r="J77" s="45"/>
      <c r="K77" s="8"/>
      <c r="L77" s="8"/>
      <c r="M77" s="8"/>
    </row>
    <row r="79" spans="1:13" s="7" customFormat="1" ht="21.95" customHeight="1">
      <c r="A79" s="9" t="s">
        <v>86</v>
      </c>
      <c r="G79" s="10">
        <f>G77+G71</f>
        <v>75469.16</v>
      </c>
      <c r="H79" s="37"/>
      <c r="I79" s="11">
        <f aca="true" t="shared" si="31" ref="I79">ROUND((G79/$B$7)/13,5)</f>
        <v>0.05534</v>
      </c>
      <c r="J79" s="8"/>
      <c r="K79" s="8"/>
      <c r="L79" s="8"/>
      <c r="M79" s="8"/>
    </row>
    <row r="80" ht="21.95" customHeight="1">
      <c r="G80" s="6" t="s">
        <v>87</v>
      </c>
    </row>
    <row r="82" spans="1:13" s="7" customFormat="1" ht="21.95" customHeight="1">
      <c r="A82" s="14" t="s">
        <v>88</v>
      </c>
      <c r="B82" s="15" t="str">
        <f>G80</f>
        <v>* BASE DE CÁLCULO 3</v>
      </c>
      <c r="C82" s="16" t="s">
        <v>82</v>
      </c>
      <c r="D82" s="16" t="s">
        <v>52</v>
      </c>
      <c r="E82" s="16" t="s">
        <v>16</v>
      </c>
      <c r="F82" s="25"/>
      <c r="G82" s="16" t="s">
        <v>17</v>
      </c>
      <c r="H82" s="16" t="s">
        <v>19</v>
      </c>
      <c r="I82" s="17" t="s">
        <v>20</v>
      </c>
      <c r="J82" s="16" t="s">
        <v>22</v>
      </c>
      <c r="K82" s="8"/>
      <c r="L82" s="8"/>
      <c r="M82" s="8"/>
    </row>
    <row r="83" spans="1:10" ht="21.95" customHeight="1">
      <c r="A83" s="18" t="s">
        <v>89</v>
      </c>
      <c r="B83" s="19">
        <f>G79</f>
        <v>75469.16</v>
      </c>
      <c r="C83" s="20">
        <v>0</v>
      </c>
      <c r="D83" s="21">
        <f>B83*C83</f>
        <v>0</v>
      </c>
      <c r="E83" s="22">
        <v>1</v>
      </c>
      <c r="F83" s="26"/>
      <c r="G83" s="19">
        <f>ROUND((D83*E83),2)</f>
        <v>0</v>
      </c>
      <c r="H83" s="23">
        <f aca="true" t="shared" si="32" ref="H83:H88">ROUND(G83/$G$71,4)</f>
        <v>0</v>
      </c>
      <c r="I83" s="24">
        <f aca="true" t="shared" si="33" ref="I83:I90">ROUND((G83/$B$7)/13,5)</f>
        <v>0</v>
      </c>
      <c r="J83" s="28"/>
    </row>
    <row r="84" spans="1:10" ht="21.95" customHeight="1">
      <c r="A84" s="18" t="s">
        <v>90</v>
      </c>
      <c r="B84" s="19">
        <f>B83</f>
        <v>75469.16</v>
      </c>
      <c r="C84" s="20">
        <v>0</v>
      </c>
      <c r="D84" s="21">
        <f aca="true" t="shared" si="34" ref="D84:D87">B84*C84</f>
        <v>0</v>
      </c>
      <c r="E84" s="22">
        <v>1</v>
      </c>
      <c r="F84" s="26"/>
      <c r="G84" s="19">
        <f aca="true" t="shared" si="35" ref="G84:G87">ROUND((D84*E84),2)</f>
        <v>0</v>
      </c>
      <c r="H84" s="23">
        <f t="shared" si="32"/>
        <v>0</v>
      </c>
      <c r="I84" s="24">
        <f t="shared" si="33"/>
        <v>0</v>
      </c>
      <c r="J84" s="29"/>
    </row>
    <row r="85" spans="1:10" ht="21.95" customHeight="1">
      <c r="A85" s="18" t="s">
        <v>91</v>
      </c>
      <c r="B85" s="19">
        <f aca="true" t="shared" si="36" ref="B85:B89">B84</f>
        <v>75469.16</v>
      </c>
      <c r="C85" s="20">
        <v>0</v>
      </c>
      <c r="D85" s="21">
        <f t="shared" si="34"/>
        <v>0</v>
      </c>
      <c r="E85" s="22">
        <v>1</v>
      </c>
      <c r="F85" s="26"/>
      <c r="G85" s="19">
        <f t="shared" si="35"/>
        <v>0</v>
      </c>
      <c r="H85" s="23">
        <f t="shared" si="32"/>
        <v>0</v>
      </c>
      <c r="I85" s="24">
        <f t="shared" si="33"/>
        <v>0</v>
      </c>
      <c r="J85" s="29"/>
    </row>
    <row r="86" spans="1:10" ht="21.95" customHeight="1">
      <c r="A86" s="18" t="s">
        <v>92</v>
      </c>
      <c r="B86" s="19">
        <f t="shared" si="36"/>
        <v>75469.16</v>
      </c>
      <c r="C86" s="20">
        <v>0</v>
      </c>
      <c r="D86" s="21">
        <f t="shared" si="34"/>
        <v>0</v>
      </c>
      <c r="E86" s="22">
        <v>1</v>
      </c>
      <c r="F86" s="26"/>
      <c r="G86" s="19">
        <f t="shared" si="35"/>
        <v>0</v>
      </c>
      <c r="H86" s="23">
        <f t="shared" si="32"/>
        <v>0</v>
      </c>
      <c r="I86" s="24">
        <f t="shared" si="33"/>
        <v>0</v>
      </c>
      <c r="J86" s="29"/>
    </row>
    <row r="87" spans="1:10" ht="21.95" customHeight="1">
      <c r="A87" s="18" t="s">
        <v>93</v>
      </c>
      <c r="B87" s="19">
        <f t="shared" si="36"/>
        <v>75469.16</v>
      </c>
      <c r="C87" s="20">
        <v>0</v>
      </c>
      <c r="D87" s="21">
        <f t="shared" si="34"/>
        <v>0</v>
      </c>
      <c r="E87" s="22">
        <v>1</v>
      </c>
      <c r="F87" s="26"/>
      <c r="G87" s="19">
        <f t="shared" si="35"/>
        <v>0</v>
      </c>
      <c r="H87" s="23">
        <f t="shared" si="32"/>
        <v>0</v>
      </c>
      <c r="I87" s="24">
        <f t="shared" si="33"/>
        <v>0</v>
      </c>
      <c r="J87" s="30"/>
    </row>
    <row r="88" spans="1:10" ht="21.95" customHeight="1">
      <c r="A88" s="18" t="s">
        <v>94</v>
      </c>
      <c r="B88" s="19">
        <f t="shared" si="36"/>
        <v>75469.16</v>
      </c>
      <c r="C88" s="20">
        <v>0</v>
      </c>
      <c r="D88" s="21">
        <f aca="true" t="shared" si="37" ref="D88:D89">B88*C88</f>
        <v>0</v>
      </c>
      <c r="E88" s="22">
        <v>1</v>
      </c>
      <c r="F88" s="26"/>
      <c r="G88" s="19">
        <f aca="true" t="shared" si="38" ref="G88:G89">ROUND((D88*E88),2)</f>
        <v>0</v>
      </c>
      <c r="H88" s="23">
        <f t="shared" si="32"/>
        <v>0</v>
      </c>
      <c r="I88" s="24">
        <f aca="true" t="shared" si="39" ref="I88:I89">ROUND((G88/$B$7)/13,5)</f>
        <v>0</v>
      </c>
      <c r="J88" s="29"/>
    </row>
    <row r="89" spans="1:10" ht="19.5" customHeight="1">
      <c r="A89" s="18" t="s">
        <v>95</v>
      </c>
      <c r="B89" s="19">
        <f t="shared" si="36"/>
        <v>75469.16</v>
      </c>
      <c r="C89" s="23">
        <v>0.145</v>
      </c>
      <c r="D89" s="21">
        <f t="shared" si="37"/>
        <v>10943.0282</v>
      </c>
      <c r="E89" s="22">
        <v>1</v>
      </c>
      <c r="F89" s="27"/>
      <c r="G89" s="19">
        <f t="shared" si="38"/>
        <v>10943.03</v>
      </c>
      <c r="H89" s="23">
        <f>ROUND(G89/G92,4)</f>
        <v>0.1266</v>
      </c>
      <c r="I89" s="24">
        <f t="shared" si="39"/>
        <v>0.00802</v>
      </c>
      <c r="J89" s="30"/>
    </row>
    <row r="90" spans="1:13" s="7" customFormat="1" ht="21.95" customHeight="1">
      <c r="A90" s="33" t="s">
        <v>96</v>
      </c>
      <c r="B90" s="34"/>
      <c r="C90" s="35">
        <f>SUM(C83:C89)</f>
        <v>0.145</v>
      </c>
      <c r="D90" s="34"/>
      <c r="E90" s="34"/>
      <c r="F90" s="36"/>
      <c r="G90" s="31">
        <f>SUM(G83:G89)</f>
        <v>10943.03</v>
      </c>
      <c r="H90" s="32">
        <f>SUM(H83:H89)</f>
        <v>0.1266</v>
      </c>
      <c r="I90" s="47">
        <f t="shared" si="33"/>
        <v>0.00802</v>
      </c>
      <c r="J90" s="45"/>
      <c r="K90" s="8"/>
      <c r="L90" s="8"/>
      <c r="M90" s="8"/>
    </row>
    <row r="92" spans="1:8" ht="21.95" customHeight="1">
      <c r="A92" s="84"/>
      <c r="B92" s="38"/>
      <c r="C92" s="38"/>
      <c r="D92" s="38"/>
      <c r="E92" s="34" t="s">
        <v>97</v>
      </c>
      <c r="F92" s="34"/>
      <c r="G92" s="85">
        <f>G90+G79</f>
        <v>86412.19</v>
      </c>
      <c r="H92" s="3"/>
    </row>
    <row r="94" spans="1:13" s="100" customFormat="1" ht="21.95" customHeight="1">
      <c r="A94" s="96" t="s">
        <v>98</v>
      </c>
      <c r="B94" s="97"/>
      <c r="C94" s="97"/>
      <c r="D94" s="97"/>
      <c r="E94" s="97"/>
      <c r="F94" s="97"/>
      <c r="G94" s="98">
        <f>ROUND(G92*C89,2)-G89</f>
        <v>1586.7399999999998</v>
      </c>
      <c r="H94" s="99"/>
      <c r="I94" s="99"/>
      <c r="J94" s="99"/>
      <c r="K94" s="99"/>
      <c r="L94" s="99"/>
      <c r="M94" s="99"/>
    </row>
    <row r="96" spans="1:7" ht="21.95" customHeight="1">
      <c r="A96" s="86"/>
      <c r="B96" s="87"/>
      <c r="C96" s="87"/>
      <c r="D96" s="87"/>
      <c r="E96" s="88" t="s">
        <v>99</v>
      </c>
      <c r="F96" s="88"/>
      <c r="G96" s="89"/>
    </row>
    <row r="97" spans="1:7" ht="21.95" customHeight="1">
      <c r="A97" s="90"/>
      <c r="B97" s="91"/>
      <c r="C97" s="91"/>
      <c r="D97" s="91"/>
      <c r="E97" s="92"/>
      <c r="F97" s="92"/>
      <c r="G97" s="93">
        <f>G94+G92</f>
        <v>87998.93000000001</v>
      </c>
    </row>
    <row r="99" spans="1:7" ht="21.95" customHeight="1">
      <c r="A99" s="86"/>
      <c r="B99" s="87"/>
      <c r="C99" s="87"/>
      <c r="D99" s="87"/>
      <c r="E99" s="88" t="s">
        <v>100</v>
      </c>
      <c r="F99" s="88"/>
      <c r="G99" s="89"/>
    </row>
    <row r="100" spans="1:7" ht="21.95" customHeight="1">
      <c r="A100" s="90"/>
      <c r="B100" s="91"/>
      <c r="C100" s="91"/>
      <c r="D100" s="91"/>
      <c r="E100" s="92"/>
      <c r="F100" s="92"/>
      <c r="G100" s="94">
        <f>ROUND(G97*13,2)</f>
        <v>1143986.09</v>
      </c>
    </row>
    <row r="102" spans="1:7" ht="21.95" customHeight="1">
      <c r="A102" s="86"/>
      <c r="B102" s="87"/>
      <c r="C102" s="87"/>
      <c r="D102" s="87"/>
      <c r="E102" s="88" t="s">
        <v>101</v>
      </c>
      <c r="F102" s="88"/>
      <c r="G102" s="89"/>
    </row>
    <row r="103" spans="1:7" ht="21.95" customHeight="1">
      <c r="A103" s="90"/>
      <c r="B103" s="91"/>
      <c r="C103" s="91"/>
      <c r="D103" s="91"/>
      <c r="E103" s="92"/>
      <c r="F103" s="92"/>
      <c r="G103" s="94">
        <f>ROUND(G100*12,2)</f>
        <v>13727833.08</v>
      </c>
    </row>
    <row r="105" spans="1:7" ht="21.95" customHeight="1">
      <c r="A105" s="86"/>
      <c r="B105" s="87"/>
      <c r="C105" s="87"/>
      <c r="D105" s="87"/>
      <c r="E105" s="88" t="s">
        <v>102</v>
      </c>
      <c r="F105" s="88"/>
      <c r="G105" s="89"/>
    </row>
    <row r="106" spans="1:7" ht="21.95" customHeight="1">
      <c r="A106" s="90"/>
      <c r="B106" s="91"/>
      <c r="C106" s="91"/>
      <c r="D106" s="91"/>
      <c r="E106" s="92"/>
      <c r="F106" s="92"/>
      <c r="G106" s="95">
        <f>ROUND(G103/B8,2)</f>
        <v>10.9</v>
      </c>
    </row>
  </sheetData>
  <mergeCells count="1">
    <mergeCell ref="J18:J19"/>
  </mergeCells>
  <printOptions horizontalCentered="1"/>
  <pageMargins left="0.5118110236220472" right="0.5118110236220472" top="0.1968503937007874" bottom="0.5511811023622047" header="0.31496062992125984" footer="0.31496062992125984"/>
  <pageSetup fitToHeight="18" fitToWidth="1" horizontalDpi="600" verticalDpi="600" orientation="landscape" paperSize="9" scale="55" r:id="rId2"/>
  <headerFooter>
    <oddFooter>&amp;RPág.: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</dc:creator>
  <cp:keywords/>
  <dc:description/>
  <cp:lastModifiedBy>Infra</cp:lastModifiedBy>
  <cp:lastPrinted>2022-06-21T14:05:48Z</cp:lastPrinted>
  <dcterms:created xsi:type="dcterms:W3CDTF">2022-06-15T18:43:59Z</dcterms:created>
  <dcterms:modified xsi:type="dcterms:W3CDTF">2022-06-21T14:05:52Z</dcterms:modified>
  <cp:category/>
  <cp:version/>
  <cp:contentType/>
  <cp:contentStatus/>
</cp:coreProperties>
</file>